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8" activeTab="0"/>
  </bookViews>
  <sheets>
    <sheet name="Cálculo Red Darcy W" sheetId="1" r:id="rId1"/>
    <sheet name="Hoja1" sheetId="2" r:id="rId2"/>
  </sheets>
  <definedNames>
    <definedName name="_xlnm.Print_Area" localSheetId="0">'Cálculo Red Darcy W'!$A$2:$W$25</definedName>
  </definedNames>
  <calcPr fullCalcOnLoad="1"/>
</workbook>
</file>

<file path=xl/sharedStrings.xml><?xml version="1.0" encoding="utf-8"?>
<sst xmlns="http://schemas.openxmlformats.org/spreadsheetml/2006/main" count="59" uniqueCount="37">
  <si>
    <t>V (m2/s)</t>
  </si>
  <si>
    <t>DEPOSITO</t>
  </si>
  <si>
    <t>Valvula 1</t>
  </si>
  <si>
    <t>D (m) =</t>
  </si>
  <si>
    <t>Q(m3/s) =</t>
  </si>
  <si>
    <t>Valvula 2</t>
  </si>
  <si>
    <t>PRV 600</t>
  </si>
  <si>
    <t>PRV 500</t>
  </si>
  <si>
    <t>PRV 400</t>
  </si>
  <si>
    <t xml:space="preserve">Viscosidad </t>
  </si>
  <si>
    <t>Accesorios</t>
  </si>
  <si>
    <t>Reducción</t>
  </si>
  <si>
    <t>Vávula</t>
  </si>
  <si>
    <t>PUNTO INICIAL</t>
  </si>
  <si>
    <t>PUNTO FINAL</t>
  </si>
  <si>
    <t>Aviso presión insuficiente</t>
  </si>
  <si>
    <t>TRAMO</t>
  </si>
  <si>
    <t>TIPO DE PERDIDAS ESTUDIADAS</t>
  </si>
  <si>
    <t>TIPO DE TUBERÍA</t>
  </si>
  <si>
    <r>
      <t>PRESIÓN NOMINAL TUBO</t>
    </r>
    <r>
      <rPr>
        <sz val="8"/>
        <rFont val="Arial"/>
        <family val="2"/>
      </rPr>
      <t xml:space="preserve"> (kg/cm2)</t>
    </r>
  </si>
  <si>
    <r>
      <t xml:space="preserve">Pérdida en válvula, pieza especial o accesorios             </t>
    </r>
    <r>
      <rPr>
        <sz val="8"/>
        <rFont val="Arial"/>
        <family val="2"/>
      </rPr>
      <t xml:space="preserve"> (m o %)</t>
    </r>
  </si>
  <si>
    <r>
      <t xml:space="preserve">Número de Reynolds </t>
    </r>
    <r>
      <rPr>
        <sz val="8"/>
        <rFont val="Arial"/>
        <family val="2"/>
      </rPr>
      <t>(Re)</t>
    </r>
  </si>
  <si>
    <r>
      <t>PRESION REQUERIDA</t>
    </r>
    <r>
      <rPr>
        <sz val="8"/>
        <rFont val="Arial"/>
        <family val="2"/>
      </rPr>
      <t xml:space="preserve"> (mca)</t>
    </r>
  </si>
  <si>
    <r>
      <t xml:space="preserve">Presión dinámica </t>
    </r>
    <r>
      <rPr>
        <sz val="8"/>
        <rFont val="Arial"/>
        <family val="2"/>
      </rPr>
      <t>(mca)</t>
    </r>
  </si>
  <si>
    <r>
      <t>Presión estática</t>
    </r>
    <r>
      <rPr>
        <sz val="8"/>
        <rFont val="Arial"/>
        <family val="2"/>
      </rPr>
      <t xml:space="preserve"> (mca)</t>
    </r>
  </si>
  <si>
    <r>
      <t xml:space="preserve">RUGOSIDAD TUBO             </t>
    </r>
    <r>
      <rPr>
        <sz val="8"/>
        <rFont val="Arial"/>
        <family val="2"/>
      </rPr>
      <t xml:space="preserve"> (mm)</t>
    </r>
  </si>
  <si>
    <r>
      <t xml:space="preserve">Pérdida de presión en el tramo                                    </t>
    </r>
    <r>
      <rPr>
        <sz val="8"/>
        <rFont val="Arial"/>
        <family val="2"/>
      </rPr>
      <t>(m)</t>
    </r>
  </si>
  <si>
    <r>
      <t xml:space="preserve">CAUDAL             </t>
    </r>
    <r>
      <rPr>
        <sz val="8"/>
        <rFont val="Arial"/>
        <family val="2"/>
      </rPr>
      <t xml:space="preserve"> (m3/s)</t>
    </r>
  </si>
  <si>
    <r>
      <t xml:space="preserve">Factor de fricción           </t>
    </r>
    <r>
      <rPr>
        <sz val="8"/>
        <rFont val="Arial"/>
        <family val="2"/>
      </rPr>
      <t xml:space="preserve">  (f)</t>
    </r>
  </si>
  <si>
    <r>
      <t>DIAMETRO INTERIOR TUBO            (</t>
    </r>
    <r>
      <rPr>
        <sz val="8"/>
        <rFont val="Arial"/>
        <family val="2"/>
      </rPr>
      <t>mm)</t>
    </r>
  </si>
  <si>
    <r>
      <t xml:space="preserve">LONGITUD TRAMO              </t>
    </r>
    <r>
      <rPr>
        <sz val="8"/>
        <rFont val="Arial"/>
        <family val="2"/>
      </rPr>
      <t>(m)</t>
    </r>
  </si>
  <si>
    <r>
      <t xml:space="preserve">COTA PUNTO FINAL             </t>
    </r>
    <r>
      <rPr>
        <sz val="8"/>
        <rFont val="Arial"/>
        <family val="2"/>
      </rPr>
      <t xml:space="preserve">(m) </t>
    </r>
  </si>
  <si>
    <r>
      <t xml:space="preserve">Cota punto inicial               </t>
    </r>
    <r>
      <rPr>
        <sz val="8"/>
        <rFont val="Arial"/>
        <family val="2"/>
      </rPr>
      <t>(m)</t>
    </r>
  </si>
  <si>
    <r>
      <t xml:space="preserve">Diferencia de           cota                            </t>
    </r>
    <r>
      <rPr>
        <sz val="8"/>
        <rFont val="Arial"/>
        <family val="2"/>
      </rPr>
      <t>(m)</t>
    </r>
  </si>
  <si>
    <r>
      <t xml:space="preserve">Diámetro interior             tubo               </t>
    </r>
    <r>
      <rPr>
        <sz val="8"/>
        <rFont val="Arial"/>
        <family val="2"/>
      </rPr>
      <t xml:space="preserve"> (m)</t>
    </r>
  </si>
  <si>
    <r>
      <t xml:space="preserve">Velocidad         del agua             </t>
    </r>
    <r>
      <rPr>
        <sz val="8"/>
        <rFont val="Arial"/>
        <family val="2"/>
      </rPr>
      <t>(m/s)</t>
    </r>
  </si>
  <si>
    <t>K =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</si>
</sst>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0.0000"/>
    <numFmt numFmtId="174" formatCode="0.00000"/>
    <numFmt numFmtId="175" formatCode="0.0"/>
    <numFmt numFmtId="176" formatCode="0.0000%"/>
    <numFmt numFmtId="177" formatCode="0.000%"/>
  </numFmts>
  <fonts count="51">
    <font>
      <sz val="10"/>
      <name val="Arial"/>
      <family val="0"/>
    </font>
    <font>
      <b/>
      <sz val="8"/>
      <color indexed="16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48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6" fillId="33" borderId="0" xfId="0" applyFont="1" applyFill="1" applyAlignment="1">
      <alignment horizontal="center"/>
    </xf>
    <xf numFmtId="172" fontId="0" fillId="34" borderId="12" xfId="0" applyNumberFormat="1" applyFill="1" applyBorder="1" applyAlignment="1" applyProtection="1">
      <alignment/>
      <protection hidden="1"/>
    </xf>
    <xf numFmtId="2" fontId="0" fillId="34" borderId="12" xfId="0" applyNumberFormat="1" applyFill="1" applyBorder="1" applyAlignment="1" applyProtection="1">
      <alignment/>
      <protection hidden="1"/>
    </xf>
    <xf numFmtId="0" fontId="0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2" fontId="0" fillId="34" borderId="0" xfId="0" applyNumberForma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2" fontId="0" fillId="34" borderId="0" xfId="0" applyNumberForma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right"/>
      <protection locked="0"/>
    </xf>
    <xf numFmtId="172" fontId="3" fillId="0" borderId="0" xfId="0" applyNumberFormat="1" applyFont="1" applyBorder="1" applyAlignment="1">
      <alignment horizontal="center" vertical="center" wrapText="1"/>
    </xf>
    <xf numFmtId="172" fontId="0" fillId="34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49" fillId="34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right"/>
    </xf>
    <xf numFmtId="9" fontId="50" fillId="34" borderId="0" xfId="0" applyNumberFormat="1" applyFont="1" applyFill="1" applyBorder="1" applyAlignment="1" applyProtection="1">
      <alignment/>
      <protection hidden="1"/>
    </xf>
    <xf numFmtId="0" fontId="0" fillId="34" borderId="12" xfId="0" applyFont="1" applyFill="1" applyBorder="1" applyAlignment="1" applyProtection="1">
      <alignment/>
      <protection hidden="1"/>
    </xf>
    <xf numFmtId="2" fontId="0" fillId="0" borderId="0" xfId="0" applyNumberFormat="1" applyFill="1" applyAlignment="1">
      <alignment/>
    </xf>
    <xf numFmtId="0" fontId="8" fillId="34" borderId="0" xfId="0" applyFont="1" applyFill="1" applyBorder="1" applyAlignment="1" applyProtection="1">
      <alignment horizontal="right"/>
      <protection hidden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Border="1" applyAlignment="1" applyProtection="1">
      <alignment/>
      <protection hidden="1"/>
    </xf>
    <xf numFmtId="172" fontId="0" fillId="0" borderId="12" xfId="0" applyNumberFormat="1" applyFill="1" applyBorder="1" applyAlignment="1" applyProtection="1">
      <alignment/>
      <protection hidden="1"/>
    </xf>
    <xf numFmtId="0" fontId="9" fillId="0" borderId="0" xfId="0" applyFont="1" applyFill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175" fontId="0" fillId="34" borderId="0" xfId="0" applyNumberFormat="1" applyFill="1" applyBorder="1" applyAlignment="1" applyProtection="1">
      <alignment/>
      <protection hidden="1"/>
    </xf>
    <xf numFmtId="175" fontId="0" fillId="34" borderId="12" xfId="0" applyNumberFormat="1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1" fontId="0" fillId="34" borderId="12" xfId="0" applyNumberFormat="1" applyFill="1" applyBorder="1" applyAlignment="1" applyProtection="1">
      <alignment/>
      <protection hidden="1"/>
    </xf>
    <xf numFmtId="175" fontId="49" fillId="34" borderId="0" xfId="0" applyNumberFormat="1" applyFont="1" applyFill="1" applyBorder="1" applyAlignment="1" applyProtection="1">
      <alignment/>
      <protection hidden="1"/>
    </xf>
    <xf numFmtId="175" fontId="0" fillId="0" borderId="0" xfId="0" applyNumberFormat="1" applyFill="1" applyAlignment="1">
      <alignment/>
    </xf>
    <xf numFmtId="175" fontId="4" fillId="35" borderId="0" xfId="0" applyNumberFormat="1" applyFont="1" applyFill="1" applyAlignment="1">
      <alignment/>
    </xf>
    <xf numFmtId="0" fontId="9" fillId="36" borderId="0" xfId="0" applyFont="1" applyFill="1" applyAlignment="1" applyProtection="1">
      <alignment horizontal="center"/>
      <protection hidden="1"/>
    </xf>
    <xf numFmtId="0" fontId="9" fillId="0" borderId="0" xfId="0" applyFont="1" applyAlignment="1">
      <alignment horizontal="right"/>
    </xf>
    <xf numFmtId="0" fontId="10" fillId="37" borderId="0" xfId="0" applyFont="1" applyFill="1" applyAlignment="1" applyProtection="1">
      <alignment horizontal="center"/>
      <protection locked="0"/>
    </xf>
    <xf numFmtId="17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9"/>
  <sheetViews>
    <sheetView tabSelected="1" zoomScale="150" zoomScaleNormal="15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27" sqref="L27"/>
    </sheetView>
  </sheetViews>
  <sheetFormatPr defaultColWidth="11.421875" defaultRowHeight="12.75"/>
  <cols>
    <col min="1" max="1" width="9.57421875" style="0" customWidth="1"/>
    <col min="2" max="2" width="8.421875" style="0" customWidth="1"/>
    <col min="3" max="3" width="7.8515625" style="0" customWidth="1"/>
    <col min="6" max="6" width="13.7109375" style="0" customWidth="1"/>
    <col min="7" max="7" width="12.7109375" style="0" customWidth="1"/>
    <col min="8" max="8" width="14.28125" style="0" customWidth="1"/>
    <col min="9" max="9" width="9.7109375" style="0" customWidth="1"/>
    <col min="10" max="10" width="16.140625" style="0" customWidth="1"/>
    <col min="11" max="11" width="9.8515625" style="0" customWidth="1"/>
    <col min="12" max="12" width="11.57421875" style="0" bestFit="1" customWidth="1"/>
    <col min="13" max="13" width="10.28125" style="0" bestFit="1" customWidth="1"/>
    <col min="15" max="15" width="10.421875" style="0" bestFit="1" customWidth="1"/>
    <col min="17" max="17" width="10.8515625" style="0" customWidth="1"/>
    <col min="19" max="19" width="13.7109375" style="0" bestFit="1" customWidth="1"/>
    <col min="20" max="20" width="13.7109375" style="0" customWidth="1"/>
    <col min="21" max="21" width="12.28125" style="48" customWidth="1"/>
    <col min="22" max="22" width="10.421875" style="0" customWidth="1"/>
    <col min="23" max="23" width="13.28125" style="0" bestFit="1" customWidth="1"/>
  </cols>
  <sheetData>
    <row r="2" spans="4:13" ht="12.75">
      <c r="D2" s="58" t="s">
        <v>9</v>
      </c>
      <c r="E2" s="57" t="s">
        <v>0</v>
      </c>
      <c r="F2" s="59">
        <v>1.1E-06</v>
      </c>
      <c r="H2" s="40"/>
      <c r="I2" s="38"/>
      <c r="J2" s="39"/>
      <c r="K2" s="39"/>
      <c r="M2" s="60"/>
    </row>
    <row r="3" spans="4:21" s="2" customFormat="1" ht="4.5" customHeight="1" thickBot="1">
      <c r="D3" s="37"/>
      <c r="E3" s="38"/>
      <c r="F3" s="39"/>
      <c r="H3" s="40"/>
      <c r="I3" s="38"/>
      <c r="J3" s="39"/>
      <c r="K3" s="39"/>
      <c r="U3" s="48"/>
    </row>
    <row r="4" spans="1:23" ht="53.25" customHeight="1" thickBot="1">
      <c r="A4" s="9" t="s">
        <v>16</v>
      </c>
      <c r="B4" s="9" t="s">
        <v>13</v>
      </c>
      <c r="C4" s="9" t="s">
        <v>14</v>
      </c>
      <c r="D4" s="10" t="s">
        <v>32</v>
      </c>
      <c r="E4" s="9" t="s">
        <v>31</v>
      </c>
      <c r="F4" s="10" t="s">
        <v>33</v>
      </c>
      <c r="G4" s="10" t="s">
        <v>24</v>
      </c>
      <c r="H4" s="10" t="s">
        <v>23</v>
      </c>
      <c r="I4" s="11" t="s">
        <v>22</v>
      </c>
      <c r="J4" s="10" t="s">
        <v>15</v>
      </c>
      <c r="K4" s="9" t="s">
        <v>30</v>
      </c>
      <c r="L4" s="9" t="s">
        <v>29</v>
      </c>
      <c r="M4" s="10" t="s">
        <v>34</v>
      </c>
      <c r="N4" s="9" t="s">
        <v>27</v>
      </c>
      <c r="O4" s="10" t="s">
        <v>21</v>
      </c>
      <c r="P4" s="10" t="s">
        <v>35</v>
      </c>
      <c r="Q4" s="9" t="s">
        <v>25</v>
      </c>
      <c r="R4" s="10" t="s">
        <v>28</v>
      </c>
      <c r="S4" s="10" t="s">
        <v>26</v>
      </c>
      <c r="T4" s="10" t="s">
        <v>20</v>
      </c>
      <c r="U4" s="9" t="s">
        <v>17</v>
      </c>
      <c r="V4" s="11" t="s">
        <v>19</v>
      </c>
      <c r="W4" s="9" t="s">
        <v>18</v>
      </c>
    </row>
    <row r="5" spans="1:23" ht="12.75" customHeight="1">
      <c r="A5" s="23" t="s">
        <v>1</v>
      </c>
      <c r="B5" s="4"/>
      <c r="C5" s="4"/>
      <c r="D5" s="33">
        <v>350</v>
      </c>
      <c r="E5" s="34">
        <v>350</v>
      </c>
      <c r="F5" s="44">
        <f aca="true" t="shared" si="0" ref="F5:F25">D5-E5</f>
        <v>0</v>
      </c>
      <c r="G5" s="24"/>
      <c r="H5" s="24"/>
      <c r="I5" s="24"/>
      <c r="J5" s="24"/>
      <c r="K5" s="1"/>
      <c r="L5" s="1"/>
      <c r="M5" s="1"/>
      <c r="N5" s="1"/>
      <c r="O5" s="1"/>
      <c r="P5" s="1"/>
      <c r="Q5" s="1"/>
      <c r="R5" s="1"/>
      <c r="S5" s="1"/>
      <c r="T5" s="31"/>
      <c r="U5" s="45"/>
      <c r="V5" s="25"/>
      <c r="W5" s="26"/>
    </row>
    <row r="6" spans="1:23" ht="12.75">
      <c r="A6" s="5">
        <v>1</v>
      </c>
      <c r="B6" s="6">
        <v>1</v>
      </c>
      <c r="C6" s="6">
        <v>2</v>
      </c>
      <c r="D6" s="29">
        <f aca="true" t="shared" si="1" ref="D6:D25">E5</f>
        <v>350</v>
      </c>
      <c r="E6" s="8">
        <v>298</v>
      </c>
      <c r="F6" s="29">
        <f t="shared" si="0"/>
        <v>52</v>
      </c>
      <c r="G6" s="50">
        <f>F6</f>
        <v>52</v>
      </c>
      <c r="H6" s="50">
        <f>G6-S6</f>
        <v>50.06663930310171</v>
      </c>
      <c r="I6" s="7"/>
      <c r="J6" s="12">
        <f>IF(I6&gt;H6,"PRESION INSUFICIENTE","")</f>
      </c>
      <c r="K6" s="8">
        <v>950</v>
      </c>
      <c r="L6" s="13">
        <v>588</v>
      </c>
      <c r="M6" s="28">
        <f>L6/1000</f>
        <v>0.588</v>
      </c>
      <c r="N6" s="15">
        <v>0.31682</v>
      </c>
      <c r="O6" s="52">
        <f aca="true" t="shared" si="2" ref="O6:O25">(4*N6)/(3.14159*M6*$F$2)</f>
        <v>623667.4293295303</v>
      </c>
      <c r="P6" s="29">
        <f aca="true" t="shared" si="3" ref="P6:P25">($F$2*O6)/M6</f>
        <v>1.1667247827593257</v>
      </c>
      <c r="Q6" s="14">
        <v>0.1</v>
      </c>
      <c r="R6" s="27">
        <f>0.25/POWER(LOG10((Q6/(3.7*L6))+(5.74/POWER(O6,0.9))),2)</f>
        <v>0.014930515362997849</v>
      </c>
      <c r="S6" s="50">
        <f>((0.083*R6*K6)/(POWER(M6,5)))*POWER(N6,2)*(1+T6)</f>
        <v>1.9333606968982893</v>
      </c>
      <c r="T6" s="41">
        <v>0.15</v>
      </c>
      <c r="U6" s="49" t="s">
        <v>10</v>
      </c>
      <c r="V6" s="5">
        <v>6</v>
      </c>
      <c r="W6" s="30" t="s">
        <v>6</v>
      </c>
    </row>
    <row r="7" spans="1:23" ht="12.75">
      <c r="A7" s="5">
        <v>2</v>
      </c>
      <c r="B7" s="6">
        <v>2</v>
      </c>
      <c r="C7" s="6">
        <v>3</v>
      </c>
      <c r="D7" s="29">
        <f t="shared" si="1"/>
        <v>298</v>
      </c>
      <c r="E7" s="8">
        <v>297</v>
      </c>
      <c r="F7" s="29">
        <f t="shared" si="0"/>
        <v>1</v>
      </c>
      <c r="G7" s="50">
        <f>F7+F6</f>
        <v>53</v>
      </c>
      <c r="H7" s="50">
        <f>G7-(S7+S6)</f>
        <v>50.447330984810364</v>
      </c>
      <c r="I7" s="7">
        <v>45</v>
      </c>
      <c r="J7" s="12">
        <f aca="true" t="shared" si="4" ref="J7:J25">IF(I7&gt;H7,"PRESION INSUFICIENTE","")</f>
      </c>
      <c r="K7" s="8">
        <v>350</v>
      </c>
      <c r="L7" s="13">
        <v>588</v>
      </c>
      <c r="M7" s="28">
        <f aca="true" t="shared" si="5" ref="M7:M25">L7/1000</f>
        <v>0.588</v>
      </c>
      <c r="N7" s="15">
        <v>0.3168</v>
      </c>
      <c r="O7" s="52">
        <f t="shared" si="2"/>
        <v>623628.0588712684</v>
      </c>
      <c r="P7" s="29">
        <f t="shared" si="3"/>
        <v>1.1666511305414886</v>
      </c>
      <c r="Q7" s="14">
        <v>0.1</v>
      </c>
      <c r="R7" s="27">
        <f aca="true" t="shared" si="6" ref="R7:R25">0.25/POWER(LOG10((Q7/(3.7*L7))+(5.74/POWER(O7,0.9))),2)</f>
        <v>0.01493059314238361</v>
      </c>
      <c r="S7" s="50">
        <f aca="true" t="shared" si="7" ref="S7:S25">((0.083*R7*K7)/(POWER(M7,5)))*POWER(N7,2)</f>
        <v>0.6193083182913434</v>
      </c>
      <c r="T7" s="46"/>
      <c r="U7" s="49"/>
      <c r="V7" s="5">
        <v>6</v>
      </c>
      <c r="W7" s="30" t="s">
        <v>6</v>
      </c>
    </row>
    <row r="8" spans="1:26" ht="12.75">
      <c r="A8" s="5">
        <v>3</v>
      </c>
      <c r="B8" s="6">
        <v>3</v>
      </c>
      <c r="C8" s="6">
        <v>4</v>
      </c>
      <c r="D8" s="29">
        <f t="shared" si="1"/>
        <v>297</v>
      </c>
      <c r="E8" s="8">
        <v>296.3</v>
      </c>
      <c r="F8" s="29">
        <f>D8-E8</f>
        <v>0.6999999999999886</v>
      </c>
      <c r="G8" s="50">
        <f>F8+F7+F6</f>
        <v>53.69999999999999</v>
      </c>
      <c r="H8" s="50">
        <f>G8-(S8+S7+S6)</f>
        <v>50.370624763322795</v>
      </c>
      <c r="I8" s="7"/>
      <c r="J8" s="12">
        <f t="shared" si="4"/>
      </c>
      <c r="K8" s="8">
        <v>250</v>
      </c>
      <c r="L8" s="13">
        <v>506</v>
      </c>
      <c r="M8" s="28">
        <f t="shared" si="5"/>
        <v>0.506</v>
      </c>
      <c r="N8" s="15">
        <v>0.285052</v>
      </c>
      <c r="O8" s="52">
        <f t="shared" si="2"/>
        <v>652065.729910114</v>
      </c>
      <c r="P8" s="29">
        <f t="shared" si="3"/>
        <v>1.4175341954567695</v>
      </c>
      <c r="Q8" s="14">
        <v>0.1</v>
      </c>
      <c r="R8" s="27">
        <f t="shared" si="6"/>
        <v>0.015162651842264507</v>
      </c>
      <c r="S8" s="50">
        <f>((0.083*R8*K8)/(POWER(M8,5)))*POWER(N8,2)+T8</f>
        <v>0.7767062214875639</v>
      </c>
      <c r="T8" s="27">
        <v>0.006</v>
      </c>
      <c r="U8" s="49" t="s">
        <v>11</v>
      </c>
      <c r="V8" s="5">
        <v>6</v>
      </c>
      <c r="W8" s="30" t="s">
        <v>7</v>
      </c>
      <c r="Y8" s="19"/>
      <c r="Z8" s="16"/>
    </row>
    <row r="9" spans="1:26" ht="12.75">
      <c r="A9" s="5">
        <v>4</v>
      </c>
      <c r="B9" s="6">
        <v>4</v>
      </c>
      <c r="C9" s="6">
        <v>5</v>
      </c>
      <c r="D9" s="29">
        <f t="shared" si="1"/>
        <v>296.3</v>
      </c>
      <c r="E9" s="8">
        <v>297.35</v>
      </c>
      <c r="F9" s="29">
        <f t="shared" si="0"/>
        <v>-1.0500000000000114</v>
      </c>
      <c r="G9" s="50">
        <f>F9+F8+F7+F6</f>
        <v>52.64999999999998</v>
      </c>
      <c r="H9" s="50">
        <f>G9-S9</f>
        <v>52.34171751140495</v>
      </c>
      <c r="I9" s="7"/>
      <c r="J9" s="12">
        <f t="shared" si="4"/>
      </c>
      <c r="K9" s="8">
        <v>100</v>
      </c>
      <c r="L9" s="13">
        <v>506</v>
      </c>
      <c r="M9" s="28">
        <f t="shared" si="5"/>
        <v>0.506</v>
      </c>
      <c r="N9" s="15">
        <v>0.285052</v>
      </c>
      <c r="O9" s="52">
        <f t="shared" si="2"/>
        <v>652065.729910114</v>
      </c>
      <c r="P9" s="29">
        <f t="shared" si="3"/>
        <v>1.4175341954567695</v>
      </c>
      <c r="Q9" s="14">
        <v>0.1</v>
      </c>
      <c r="R9" s="27">
        <f t="shared" si="6"/>
        <v>0.015162651842264507</v>
      </c>
      <c r="S9" s="50">
        <f t="shared" si="7"/>
        <v>0.3082824885950256</v>
      </c>
      <c r="T9" s="46"/>
      <c r="U9" s="49"/>
      <c r="V9" s="5">
        <v>6</v>
      </c>
      <c r="W9" s="30" t="s">
        <v>7</v>
      </c>
      <c r="Y9" s="16"/>
      <c r="Z9" s="16"/>
    </row>
    <row r="10" spans="1:26" ht="12.75">
      <c r="A10" s="5">
        <v>5</v>
      </c>
      <c r="B10" s="6">
        <v>5</v>
      </c>
      <c r="C10" s="6">
        <v>6</v>
      </c>
      <c r="D10" s="29">
        <f t="shared" si="1"/>
        <v>297.35</v>
      </c>
      <c r="E10" s="8">
        <v>297.01</v>
      </c>
      <c r="F10" s="29">
        <f t="shared" si="0"/>
        <v>0.34000000000003183</v>
      </c>
      <c r="G10" s="50">
        <f>F10+F9+F8+F7+F6</f>
        <v>52.99000000000001</v>
      </c>
      <c r="H10" s="50">
        <f>G10-(S10+S9+S8+S7+S6)</f>
        <v>48.11150525813281</v>
      </c>
      <c r="I10" s="7"/>
      <c r="J10" s="12">
        <f t="shared" si="4"/>
      </c>
      <c r="K10" s="8">
        <v>350</v>
      </c>
      <c r="L10" s="13">
        <v>506</v>
      </c>
      <c r="M10" s="28">
        <f t="shared" si="5"/>
        <v>0.506</v>
      </c>
      <c r="N10" s="15">
        <v>0.285052</v>
      </c>
      <c r="O10" s="52">
        <f t="shared" si="2"/>
        <v>652065.729910114</v>
      </c>
      <c r="P10" s="29">
        <f t="shared" si="3"/>
        <v>1.4175341954567695</v>
      </c>
      <c r="Q10" s="14">
        <v>0.1</v>
      </c>
      <c r="R10" s="27">
        <f t="shared" si="6"/>
        <v>0.015162651842264507</v>
      </c>
      <c r="S10" s="50">
        <f>((0.083*R10*K10)/(POWER(M10,5)))*POWER(N10,2)*(1+T10)</f>
        <v>1.2408370165949778</v>
      </c>
      <c r="T10" s="41">
        <v>0.15</v>
      </c>
      <c r="U10" s="49" t="s">
        <v>10</v>
      </c>
      <c r="V10" s="5">
        <v>6</v>
      </c>
      <c r="W10" s="30" t="s">
        <v>7</v>
      </c>
      <c r="Y10" s="16"/>
      <c r="Z10" s="16"/>
    </row>
    <row r="11" spans="1:29" ht="12.75">
      <c r="A11" s="35" t="s">
        <v>2</v>
      </c>
      <c r="B11" s="6"/>
      <c r="C11" s="6"/>
      <c r="D11" s="29"/>
      <c r="E11" s="8"/>
      <c r="F11" s="29"/>
      <c r="G11" s="50"/>
      <c r="H11" s="50"/>
      <c r="I11" s="7"/>
      <c r="J11" s="12"/>
      <c r="K11" s="8"/>
      <c r="L11" s="13"/>
      <c r="M11" s="28"/>
      <c r="N11" s="15"/>
      <c r="O11" s="52"/>
      <c r="P11" s="29"/>
      <c r="Q11" s="14"/>
      <c r="R11" s="36"/>
      <c r="S11" s="54"/>
      <c r="T11" s="27">
        <f>((8*Y11)/(POWER(3.14159,2)*9.81*POWER(AA11,4))*POWER(AC11,2))</f>
        <v>0.05025963570694581</v>
      </c>
      <c r="U11" s="49" t="s">
        <v>12</v>
      </c>
      <c r="V11" s="5"/>
      <c r="W11" s="30"/>
      <c r="X11" s="22" t="s">
        <v>36</v>
      </c>
      <c r="Y11" s="18">
        <v>1.5</v>
      </c>
      <c r="Z11" s="17" t="s">
        <v>3</v>
      </c>
      <c r="AA11" s="18">
        <v>0.5</v>
      </c>
      <c r="AB11" s="17" t="s">
        <v>4</v>
      </c>
      <c r="AC11" s="18">
        <v>0.1592</v>
      </c>
    </row>
    <row r="12" spans="1:26" ht="12.75">
      <c r="A12" s="5">
        <v>6</v>
      </c>
      <c r="B12" s="6">
        <v>6</v>
      </c>
      <c r="C12" s="6">
        <v>7</v>
      </c>
      <c r="D12" s="29">
        <f>E10</f>
        <v>297.01</v>
      </c>
      <c r="E12" s="8">
        <v>296.58</v>
      </c>
      <c r="F12" s="29">
        <f t="shared" si="0"/>
        <v>0.4300000000000068</v>
      </c>
      <c r="G12" s="50">
        <f>F12+F10+F9+F8+F7+F6</f>
        <v>53.420000000000016</v>
      </c>
      <c r="H12" s="50">
        <f>G12-(S12+T11+S10+S9++S8+S7+S6)</f>
        <v>47.25040860583089</v>
      </c>
      <c r="I12" s="7"/>
      <c r="J12" s="12">
        <f t="shared" si="4"/>
      </c>
      <c r="K12" s="8">
        <v>350</v>
      </c>
      <c r="L12" s="13">
        <v>506</v>
      </c>
      <c r="M12" s="28">
        <f t="shared" si="5"/>
        <v>0.506</v>
      </c>
      <c r="N12" s="15">
        <v>0.285052</v>
      </c>
      <c r="O12" s="52">
        <f t="shared" si="2"/>
        <v>652065.729910114</v>
      </c>
      <c r="P12" s="29">
        <f t="shared" si="3"/>
        <v>1.4175341954567695</v>
      </c>
      <c r="Q12" s="14">
        <v>0.1</v>
      </c>
      <c r="R12" s="27">
        <f t="shared" si="6"/>
        <v>0.015162651842264507</v>
      </c>
      <c r="S12" s="50">
        <f>((0.083*R12*K12)/(POWER(M12,5)))*POWER(N12,2)*(1+T12)</f>
        <v>1.2408370165949778</v>
      </c>
      <c r="T12" s="41">
        <v>0.15</v>
      </c>
      <c r="U12" s="49" t="s">
        <v>10</v>
      </c>
      <c r="V12" s="5">
        <v>6</v>
      </c>
      <c r="W12" s="30" t="s">
        <v>7</v>
      </c>
      <c r="Y12" s="16"/>
      <c r="Z12" s="16"/>
    </row>
    <row r="13" spans="1:23" ht="12.75">
      <c r="A13" s="5">
        <v>7</v>
      </c>
      <c r="B13" s="6">
        <v>7</v>
      </c>
      <c r="C13" s="6">
        <v>8</v>
      </c>
      <c r="D13" s="29">
        <f>E12</f>
        <v>296.58</v>
      </c>
      <c r="E13" s="8">
        <v>296.1</v>
      </c>
      <c r="F13" s="29">
        <f t="shared" si="0"/>
        <v>0.47999999999996135</v>
      </c>
      <c r="G13" s="50">
        <f>F13+F12+F10+F9+F8+F7+F6</f>
        <v>53.89999999999998</v>
      </c>
      <c r="H13" s="50">
        <f>G13-(S13+S12+T11+S10+S9+S8+S7+S6)</f>
        <v>47.267984872938314</v>
      </c>
      <c r="I13" s="7"/>
      <c r="J13" s="12">
        <f t="shared" si="4"/>
      </c>
      <c r="K13" s="8">
        <v>150</v>
      </c>
      <c r="L13" s="13">
        <v>506</v>
      </c>
      <c r="M13" s="28">
        <f t="shared" si="5"/>
        <v>0.506</v>
      </c>
      <c r="N13" s="15">
        <v>0.285052</v>
      </c>
      <c r="O13" s="52">
        <f t="shared" si="2"/>
        <v>652065.729910114</v>
      </c>
      <c r="P13" s="29">
        <f t="shared" si="3"/>
        <v>1.4175341954567695</v>
      </c>
      <c r="Q13" s="14">
        <v>0.1</v>
      </c>
      <c r="R13" s="27">
        <f t="shared" si="6"/>
        <v>0.015162651842264507</v>
      </c>
      <c r="S13" s="50">
        <f t="shared" si="7"/>
        <v>0.46242373289253835</v>
      </c>
      <c r="T13" s="46"/>
      <c r="U13" s="49"/>
      <c r="V13" s="5">
        <v>6</v>
      </c>
      <c r="W13" s="30" t="s">
        <v>7</v>
      </c>
    </row>
    <row r="14" spans="1:23" ht="12.75">
      <c r="A14" s="5">
        <v>8</v>
      </c>
      <c r="B14" s="6">
        <v>8</v>
      </c>
      <c r="C14" s="6">
        <v>9</v>
      </c>
      <c r="D14" s="29">
        <f t="shared" si="1"/>
        <v>296.1</v>
      </c>
      <c r="E14" s="8">
        <v>295.54</v>
      </c>
      <c r="F14" s="29">
        <f t="shared" si="0"/>
        <v>0.5600000000000023</v>
      </c>
      <c r="G14" s="50">
        <f>F14+F13+F12+F10+F9+F8+F7+F6</f>
        <v>54.45999999999998</v>
      </c>
      <c r="H14" s="50">
        <f>G14-(S14+S13+S12+T11+S10+S9+S8+S7+S6)</f>
        <v>47.211419895748264</v>
      </c>
      <c r="I14" s="7">
        <v>45</v>
      </c>
      <c r="J14" s="12">
        <f t="shared" si="4"/>
      </c>
      <c r="K14" s="8">
        <v>200</v>
      </c>
      <c r="L14" s="13">
        <v>506</v>
      </c>
      <c r="M14" s="28">
        <f t="shared" si="5"/>
        <v>0.506</v>
      </c>
      <c r="N14" s="15">
        <v>0.285052</v>
      </c>
      <c r="O14" s="52">
        <f t="shared" si="2"/>
        <v>652065.729910114</v>
      </c>
      <c r="P14" s="29">
        <f t="shared" si="3"/>
        <v>1.4175341954567695</v>
      </c>
      <c r="Q14" s="14">
        <v>0.1</v>
      </c>
      <c r="R14" s="27">
        <f t="shared" si="6"/>
        <v>0.015162651842264507</v>
      </c>
      <c r="S14" s="50">
        <f t="shared" si="7"/>
        <v>0.6165649771900512</v>
      </c>
      <c r="T14" s="46"/>
      <c r="U14" s="49"/>
      <c r="V14" s="5">
        <v>6</v>
      </c>
      <c r="W14" s="30" t="s">
        <v>7</v>
      </c>
    </row>
    <row r="15" spans="1:23" ht="12.75">
      <c r="A15" s="5">
        <v>9</v>
      </c>
      <c r="B15" s="6">
        <v>9</v>
      </c>
      <c r="C15" s="6">
        <v>10</v>
      </c>
      <c r="D15" s="29">
        <f t="shared" si="1"/>
        <v>295.54</v>
      </c>
      <c r="E15" s="8">
        <v>295.228</v>
      </c>
      <c r="F15" s="29">
        <f t="shared" si="0"/>
        <v>0.3120000000000118</v>
      </c>
      <c r="G15" s="50">
        <f>F15+F14+F13+F12+F10+F9+F8+F7+F6</f>
        <v>54.77199999999999</v>
      </c>
      <c r="H15" s="50">
        <f>G15-(S15+S14+S13+S12+T11+S10+S9+S8+S7+S6)</f>
        <v>47.01367140966356</v>
      </c>
      <c r="I15" s="7"/>
      <c r="J15" s="12">
        <f t="shared" si="4"/>
      </c>
      <c r="K15" s="8">
        <v>150</v>
      </c>
      <c r="L15" s="13">
        <v>407</v>
      </c>
      <c r="M15" s="28">
        <f t="shared" si="5"/>
        <v>0.407</v>
      </c>
      <c r="N15" s="15">
        <v>0.167818883213679</v>
      </c>
      <c r="O15" s="52">
        <f t="shared" si="2"/>
        <v>477270.08921934746</v>
      </c>
      <c r="P15" s="29">
        <f t="shared" si="3"/>
        <v>1.2899191600522906</v>
      </c>
      <c r="Q15" s="14">
        <v>0.1</v>
      </c>
      <c r="R15" s="27">
        <f t="shared" si="6"/>
        <v>0.015981116304553396</v>
      </c>
      <c r="S15" s="50">
        <f>((0.083*R15*K15)/(POWER(M15,5)))*POWER(N15,2)+T15</f>
        <v>0.50974848608472</v>
      </c>
      <c r="T15" s="27">
        <v>0.008</v>
      </c>
      <c r="U15" s="49" t="s">
        <v>11</v>
      </c>
      <c r="V15" s="5">
        <v>6</v>
      </c>
      <c r="W15" s="30" t="s">
        <v>8</v>
      </c>
    </row>
    <row r="16" spans="1:23" ht="12.75">
      <c r="A16" s="5">
        <v>10</v>
      </c>
      <c r="B16" s="6">
        <v>10</v>
      </c>
      <c r="C16" s="6">
        <v>11</v>
      </c>
      <c r="D16" s="29">
        <f t="shared" si="1"/>
        <v>295.228</v>
      </c>
      <c r="E16" s="8">
        <v>294.97</v>
      </c>
      <c r="F16" s="29">
        <f>D16-E16</f>
        <v>0.25799999999998136</v>
      </c>
      <c r="G16" s="50">
        <f>F16+F15+F14+F13+F12+F10+F9+F8+F7+F6</f>
        <v>55.02999999999997</v>
      </c>
      <c r="H16" s="50">
        <f>G16-(S16+S15+S14+S13+S12+T11+S10+S9+S8+S7+S6)</f>
        <v>46.76992292357882</v>
      </c>
      <c r="I16" s="7">
        <v>43</v>
      </c>
      <c r="J16" s="12">
        <f t="shared" si="4"/>
      </c>
      <c r="K16" s="8">
        <v>150</v>
      </c>
      <c r="L16" s="13">
        <v>407</v>
      </c>
      <c r="M16" s="28">
        <f t="shared" si="5"/>
        <v>0.407</v>
      </c>
      <c r="N16" s="15">
        <v>0.167818883213679</v>
      </c>
      <c r="O16" s="52">
        <f t="shared" si="2"/>
        <v>477270.08921934746</v>
      </c>
      <c r="P16" s="29">
        <f t="shared" si="3"/>
        <v>1.2899191600522906</v>
      </c>
      <c r="Q16" s="14">
        <v>0.1</v>
      </c>
      <c r="R16" s="27">
        <f t="shared" si="6"/>
        <v>0.015981116304553396</v>
      </c>
      <c r="S16" s="50">
        <f t="shared" si="7"/>
        <v>0.50174848608472</v>
      </c>
      <c r="T16" s="46"/>
      <c r="U16" s="49"/>
      <c r="V16" s="5">
        <v>6</v>
      </c>
      <c r="W16" s="30" t="s">
        <v>8</v>
      </c>
    </row>
    <row r="17" spans="1:29" ht="12.75">
      <c r="A17" s="35" t="s">
        <v>5</v>
      </c>
      <c r="B17" s="6"/>
      <c r="C17" s="6"/>
      <c r="D17" s="29"/>
      <c r="E17" s="8"/>
      <c r="F17" s="29"/>
      <c r="G17" s="50"/>
      <c r="H17" s="50"/>
      <c r="I17" s="7"/>
      <c r="J17" s="12"/>
      <c r="K17" s="8"/>
      <c r="L17" s="13"/>
      <c r="M17" s="28"/>
      <c r="N17" s="15"/>
      <c r="O17" s="52"/>
      <c r="P17" s="29"/>
      <c r="Q17" s="14"/>
      <c r="R17" s="36"/>
      <c r="S17" s="54"/>
      <c r="T17" s="32">
        <f>((8*Y17)/(POWER(3.14159,2)*9.81*POWER(AA17,4))*POWER(AC17,2))</f>
        <v>0.14123479360856364</v>
      </c>
      <c r="U17" s="49" t="s">
        <v>12</v>
      </c>
      <c r="V17" s="5"/>
      <c r="W17" s="30"/>
      <c r="X17" s="22" t="s">
        <v>36</v>
      </c>
      <c r="Y17" s="18">
        <v>2.5</v>
      </c>
      <c r="Z17" s="17" t="s">
        <v>3</v>
      </c>
      <c r="AA17" s="18">
        <v>0.4</v>
      </c>
      <c r="AB17" s="17" t="s">
        <v>4</v>
      </c>
      <c r="AC17" s="18">
        <v>0.1323</v>
      </c>
    </row>
    <row r="18" spans="1:24" ht="12.75">
      <c r="A18" s="5">
        <v>11</v>
      </c>
      <c r="B18" s="6">
        <v>11</v>
      </c>
      <c r="C18" s="6">
        <v>12</v>
      </c>
      <c r="D18" s="29">
        <f>E16</f>
        <v>294.97</v>
      </c>
      <c r="E18" s="8">
        <v>294.97</v>
      </c>
      <c r="F18" s="29">
        <f t="shared" si="0"/>
        <v>0</v>
      </c>
      <c r="G18" s="50">
        <f>F18+F16+F15+F14+F13+F12+F10+F9+F8+F7+F6</f>
        <v>55.02999999999997</v>
      </c>
      <c r="H18" s="50">
        <f>G18-(S18+T17+SUM(S12:S16)+T11+SUM(S6:S10))</f>
        <v>46.335196664689875</v>
      </c>
      <c r="I18" s="7">
        <v>43</v>
      </c>
      <c r="J18" s="12">
        <f t="shared" si="4"/>
      </c>
      <c r="K18" s="8">
        <v>150</v>
      </c>
      <c r="L18" s="13">
        <v>407</v>
      </c>
      <c r="M18" s="28">
        <f t="shared" si="5"/>
        <v>0.407</v>
      </c>
      <c r="N18" s="15">
        <v>0.12681563400509258</v>
      </c>
      <c r="O18" s="52">
        <f t="shared" si="2"/>
        <v>360658.51349370205</v>
      </c>
      <c r="P18" s="29">
        <f t="shared" si="3"/>
        <v>0.9747527391721679</v>
      </c>
      <c r="Q18" s="14">
        <v>0.1</v>
      </c>
      <c r="R18" s="27">
        <f t="shared" si="6"/>
        <v>0.016370146901103853</v>
      </c>
      <c r="S18" s="50">
        <f t="shared" si="7"/>
        <v>0.2934914652803854</v>
      </c>
      <c r="T18" s="46"/>
      <c r="U18" s="49"/>
      <c r="V18" s="5">
        <v>6</v>
      </c>
      <c r="W18" s="30" t="s">
        <v>8</v>
      </c>
      <c r="X18" s="16"/>
    </row>
    <row r="19" spans="1:24" ht="12.75">
      <c r="A19" s="5">
        <v>12</v>
      </c>
      <c r="B19" s="6">
        <v>12</v>
      </c>
      <c r="C19" s="6">
        <v>13</v>
      </c>
      <c r="D19" s="29">
        <f>E18</f>
        <v>294.97</v>
      </c>
      <c r="E19" s="8">
        <v>294.97</v>
      </c>
      <c r="F19" s="29">
        <f t="shared" si="0"/>
        <v>0</v>
      </c>
      <c r="G19" s="50">
        <f>F19+F18+F16+F15+F14+F13+F12+F10+F9+F8+F7+F6</f>
        <v>55.02999999999997</v>
      </c>
      <c r="H19" s="50">
        <f>G19-(SUM(S18:S19)+T17+SUM(S12:S16)+T11+SUM(S6:S10))</f>
        <v>46.15501262629114</v>
      </c>
      <c r="I19" s="7"/>
      <c r="J19" s="12">
        <f t="shared" si="4"/>
      </c>
      <c r="K19" s="8">
        <v>100</v>
      </c>
      <c r="L19" s="13">
        <v>407</v>
      </c>
      <c r="M19" s="28">
        <f t="shared" si="5"/>
        <v>0.407</v>
      </c>
      <c r="N19" s="15">
        <v>0.12145064356470957</v>
      </c>
      <c r="O19" s="52">
        <f t="shared" si="2"/>
        <v>345400.69853802584</v>
      </c>
      <c r="P19" s="29">
        <f t="shared" si="3"/>
        <v>0.933515401454124</v>
      </c>
      <c r="Q19" s="14">
        <v>0.1</v>
      </c>
      <c r="R19" s="27">
        <f t="shared" si="6"/>
        <v>0.01643654863729719</v>
      </c>
      <c r="S19" s="50">
        <f t="shared" si="7"/>
        <v>0.18018403839873234</v>
      </c>
      <c r="T19" s="46"/>
      <c r="U19" s="49"/>
      <c r="V19" s="5">
        <v>6</v>
      </c>
      <c r="W19" s="30" t="s">
        <v>8</v>
      </c>
      <c r="X19" s="16"/>
    </row>
    <row r="20" spans="1:23" ht="12.75">
      <c r="A20" s="5">
        <v>13</v>
      </c>
      <c r="B20" s="6">
        <v>13</v>
      </c>
      <c r="C20" s="6">
        <v>14</v>
      </c>
      <c r="D20" s="29">
        <f t="shared" si="1"/>
        <v>294.97</v>
      </c>
      <c r="E20" s="8">
        <v>294.846</v>
      </c>
      <c r="F20" s="29">
        <f t="shared" si="0"/>
        <v>0.12400000000002365</v>
      </c>
      <c r="G20" s="50">
        <f>F20+F19+F18+F16+F15+F14+F13+F12+F10+F9+F8+F7+F6</f>
        <v>55.153999999999996</v>
      </c>
      <c r="H20" s="50">
        <f>G20-(SUM(S18:S20)+T17+SUM(S12:S16)+T11+SUM(S6:S10))</f>
        <v>46.00873656869307</v>
      </c>
      <c r="I20" s="7"/>
      <c r="J20" s="12">
        <f t="shared" si="4"/>
      </c>
      <c r="K20" s="8">
        <v>150</v>
      </c>
      <c r="L20" s="13">
        <v>407</v>
      </c>
      <c r="M20" s="28">
        <f t="shared" si="5"/>
        <v>0.407</v>
      </c>
      <c r="N20" s="15">
        <v>0.12145064356470957</v>
      </c>
      <c r="O20" s="52">
        <f t="shared" si="2"/>
        <v>345400.69853802584</v>
      </c>
      <c r="P20" s="29">
        <f t="shared" si="3"/>
        <v>0.933515401454124</v>
      </c>
      <c r="Q20" s="14">
        <v>0.1</v>
      </c>
      <c r="R20" s="27">
        <f t="shared" si="6"/>
        <v>0.01643654863729719</v>
      </c>
      <c r="S20" s="50">
        <f t="shared" si="7"/>
        <v>0.2702760575980986</v>
      </c>
      <c r="T20" s="46"/>
      <c r="U20" s="49"/>
      <c r="V20" s="5">
        <v>6</v>
      </c>
      <c r="W20" s="30" t="s">
        <v>8</v>
      </c>
    </row>
    <row r="21" spans="1:23" ht="12.75">
      <c r="A21" s="5">
        <v>14</v>
      </c>
      <c r="B21" s="6">
        <v>14</v>
      </c>
      <c r="C21" s="6">
        <v>15</v>
      </c>
      <c r="D21" s="29">
        <f t="shared" si="1"/>
        <v>294.846</v>
      </c>
      <c r="E21" s="8">
        <v>294.688</v>
      </c>
      <c r="F21" s="29">
        <f t="shared" si="0"/>
        <v>0.15800000000001546</v>
      </c>
      <c r="G21" s="50">
        <f>F21+F20+F19+F18+F16+F15+F14+F13+F12+F10+F9+F8+F7+F6</f>
        <v>55.31200000000001</v>
      </c>
      <c r="H21" s="50">
        <f>G21-(SUM(S18:S21)+T17+SUM(S12:S16)+T11+SUM(S6:S10))</f>
        <v>45.89646051109498</v>
      </c>
      <c r="I21" s="7"/>
      <c r="J21" s="12">
        <f t="shared" si="4"/>
      </c>
      <c r="K21" s="8">
        <v>150</v>
      </c>
      <c r="L21" s="13">
        <v>407</v>
      </c>
      <c r="M21" s="28">
        <f t="shared" si="5"/>
        <v>0.407</v>
      </c>
      <c r="N21" s="15">
        <v>0.12145064356470957</v>
      </c>
      <c r="O21" s="52">
        <f t="shared" si="2"/>
        <v>345400.69853802584</v>
      </c>
      <c r="P21" s="29">
        <f t="shared" si="3"/>
        <v>0.933515401454124</v>
      </c>
      <c r="Q21" s="14">
        <v>0.1</v>
      </c>
      <c r="R21" s="27">
        <f t="shared" si="6"/>
        <v>0.01643654863729719</v>
      </c>
      <c r="S21" s="50">
        <f t="shared" si="7"/>
        <v>0.2702760575980986</v>
      </c>
      <c r="T21" s="46"/>
      <c r="U21" s="49"/>
      <c r="V21" s="5">
        <v>6</v>
      </c>
      <c r="W21" s="30" t="s">
        <v>8</v>
      </c>
    </row>
    <row r="22" spans="1:23" ht="12.75">
      <c r="A22" s="5">
        <v>15</v>
      </c>
      <c r="B22" s="6">
        <v>15</v>
      </c>
      <c r="C22" s="6">
        <v>16</v>
      </c>
      <c r="D22" s="29">
        <f t="shared" si="1"/>
        <v>294.688</v>
      </c>
      <c r="E22" s="8">
        <v>294.547</v>
      </c>
      <c r="F22" s="29">
        <f t="shared" si="0"/>
        <v>0.1409999999999627</v>
      </c>
      <c r="G22" s="50">
        <f>F22+F21+F20+F19+F18+F16+F15+F14+F13++F10+F9+F8+F7+F6</f>
        <v>55.02299999999997</v>
      </c>
      <c r="H22" s="50">
        <f>G22-(SUM($S$6:S22))</f>
        <v>45.52867888281235</v>
      </c>
      <c r="I22" s="7"/>
      <c r="J22" s="12">
        <f t="shared" si="4"/>
      </c>
      <c r="K22" s="8">
        <v>150</v>
      </c>
      <c r="L22" s="13">
        <v>407</v>
      </c>
      <c r="M22" s="28">
        <f t="shared" si="5"/>
        <v>0.407</v>
      </c>
      <c r="N22" s="15">
        <v>0.12145064356470957</v>
      </c>
      <c r="O22" s="52">
        <f t="shared" si="2"/>
        <v>345400.69853802584</v>
      </c>
      <c r="P22" s="29">
        <f t="shared" si="3"/>
        <v>0.933515401454124</v>
      </c>
      <c r="Q22" s="14">
        <v>0.1</v>
      </c>
      <c r="R22" s="27">
        <f t="shared" si="6"/>
        <v>0.01643654863729719</v>
      </c>
      <c r="S22" s="50">
        <f t="shared" si="7"/>
        <v>0.2702760575980986</v>
      </c>
      <c r="T22" s="46"/>
      <c r="U22" s="49"/>
      <c r="V22" s="5">
        <v>6</v>
      </c>
      <c r="W22" s="30" t="s">
        <v>8</v>
      </c>
    </row>
    <row r="23" spans="1:23" ht="12.75">
      <c r="A23" s="5">
        <v>16</v>
      </c>
      <c r="B23" s="6">
        <v>16</v>
      </c>
      <c r="C23" s="6">
        <v>17</v>
      </c>
      <c r="D23" s="29">
        <f t="shared" si="1"/>
        <v>294.547</v>
      </c>
      <c r="E23" s="8">
        <v>294.256</v>
      </c>
      <c r="F23" s="29">
        <f t="shared" si="0"/>
        <v>0.29100000000005366</v>
      </c>
      <c r="G23" s="50">
        <f>F23+F22+F21+F20+F19+F18+F16+F15+F14+F13+F12+F10+F9+F8+F7+F6</f>
        <v>55.74400000000003</v>
      </c>
      <c r="H23" s="50">
        <f>G23-(SUM(S18:S22)+T17+SUM(S12:S16)+T11+SUM(S6:S10))</f>
        <v>46.0581844534969</v>
      </c>
      <c r="I23" s="7">
        <v>47</v>
      </c>
      <c r="J23" s="12" t="str">
        <f t="shared" si="4"/>
        <v>PRESION INSUFICIENTE</v>
      </c>
      <c r="K23" s="8">
        <v>150</v>
      </c>
      <c r="L23" s="13">
        <v>407</v>
      </c>
      <c r="M23" s="28">
        <f t="shared" si="5"/>
        <v>0.407</v>
      </c>
      <c r="N23" s="15">
        <v>0.12145064356470957</v>
      </c>
      <c r="O23" s="52">
        <f t="shared" si="2"/>
        <v>345400.69853802584</v>
      </c>
      <c r="P23" s="29">
        <f t="shared" si="3"/>
        <v>0.933515401454124</v>
      </c>
      <c r="Q23" s="14">
        <v>0.1</v>
      </c>
      <c r="R23" s="27">
        <f t="shared" si="6"/>
        <v>0.01643654863729719</v>
      </c>
      <c r="S23" s="50">
        <f t="shared" si="7"/>
        <v>0.2702760575980986</v>
      </c>
      <c r="T23" s="46"/>
      <c r="U23" s="49"/>
      <c r="V23" s="5">
        <v>6</v>
      </c>
      <c r="W23" s="30" t="s">
        <v>8</v>
      </c>
    </row>
    <row r="24" spans="1:23" ht="12.75">
      <c r="A24" s="5">
        <v>17</v>
      </c>
      <c r="B24" s="6">
        <v>17</v>
      </c>
      <c r="C24" s="6">
        <v>18</v>
      </c>
      <c r="D24" s="29">
        <f t="shared" si="1"/>
        <v>294.256</v>
      </c>
      <c r="E24" s="8">
        <v>293.768</v>
      </c>
      <c r="F24" s="29">
        <f t="shared" si="0"/>
        <v>0.48799999999999955</v>
      </c>
      <c r="G24" s="50">
        <f>SUM($F$5:F24)</f>
        <v>56.23200000000003</v>
      </c>
      <c r="H24" s="50">
        <f>G24-(SUM(S18:S24)+T17+SUM(S12:S16)+T11+SUM(S6:S10))</f>
        <v>46.09404901812858</v>
      </c>
      <c r="I24" s="7">
        <v>43</v>
      </c>
      <c r="J24" s="12">
        <f t="shared" si="4"/>
      </c>
      <c r="K24" s="8">
        <v>200</v>
      </c>
      <c r="L24" s="13">
        <v>407</v>
      </c>
      <c r="M24" s="28">
        <f t="shared" si="5"/>
        <v>0.407</v>
      </c>
      <c r="N24" s="15">
        <v>0.08467693661166706</v>
      </c>
      <c r="O24" s="52">
        <f t="shared" si="2"/>
        <v>240817.76923764692</v>
      </c>
      <c r="P24" s="29">
        <f t="shared" si="3"/>
        <v>0.6508588357774242</v>
      </c>
      <c r="Q24" s="14">
        <v>0.1</v>
      </c>
      <c r="R24" s="27">
        <f t="shared" si="6"/>
        <v>0.017063549745601637</v>
      </c>
      <c r="S24" s="50">
        <f t="shared" si="7"/>
        <v>0.18185937777021874</v>
      </c>
      <c r="T24" s="46"/>
      <c r="U24" s="49"/>
      <c r="V24" s="5">
        <v>6</v>
      </c>
      <c r="W24" s="30" t="s">
        <v>8</v>
      </c>
    </row>
    <row r="25" spans="1:23" ht="12.75">
      <c r="A25" s="5">
        <v>18</v>
      </c>
      <c r="B25" s="6">
        <v>18</v>
      </c>
      <c r="C25" s="6">
        <v>19</v>
      </c>
      <c r="D25" s="21">
        <f t="shared" si="1"/>
        <v>293.768</v>
      </c>
      <c r="E25" s="8">
        <v>293.28</v>
      </c>
      <c r="F25" s="21">
        <f t="shared" si="0"/>
        <v>0.48799999999999955</v>
      </c>
      <c r="G25" s="51">
        <f>F25+F24+F23+F22+F21+F20+F19+F18+F16+F15+F14+F13+F12+F10+F9+F8+F7+F6</f>
        <v>56.72000000000003</v>
      </c>
      <c r="H25" s="51">
        <f>G25-(SUM(S18:S25)+T17+SUM(S12:S16)+T11+SUM(S6:S10))</f>
        <v>46.43461383997281</v>
      </c>
      <c r="I25" s="7"/>
      <c r="J25" s="12">
        <f t="shared" si="4"/>
      </c>
      <c r="K25" s="8">
        <v>200</v>
      </c>
      <c r="L25" s="13">
        <v>407</v>
      </c>
      <c r="M25" s="42">
        <f t="shared" si="5"/>
        <v>0.407</v>
      </c>
      <c r="N25" s="15">
        <v>0.07575201856242526</v>
      </c>
      <c r="O25" s="53">
        <f t="shared" si="2"/>
        <v>215435.6647207591</v>
      </c>
      <c r="P25" s="21">
        <f t="shared" si="3"/>
        <v>0.582258553299349</v>
      </c>
      <c r="Q25" s="14">
        <v>0.1</v>
      </c>
      <c r="R25" s="20">
        <f t="shared" si="6"/>
        <v>0.01728528947670833</v>
      </c>
      <c r="S25" s="51">
        <f t="shared" si="7"/>
        <v>0.1474351781557684</v>
      </c>
      <c r="T25" s="47"/>
      <c r="U25" s="49"/>
      <c r="V25" s="5">
        <v>6</v>
      </c>
      <c r="W25" s="30" t="s">
        <v>8</v>
      </c>
    </row>
    <row r="26" spans="7:23" s="2" customFormat="1" ht="12.75">
      <c r="G26" s="55"/>
      <c r="H26" s="55"/>
      <c r="S26" s="55"/>
      <c r="U26" s="48"/>
      <c r="W26" s="3"/>
    </row>
    <row r="27" spans="5:23" s="2" customFormat="1" ht="12.75">
      <c r="E27" s="43"/>
      <c r="G27" s="56">
        <f>350-E25</f>
        <v>56.72000000000003</v>
      </c>
      <c r="H27" s="56">
        <f>G27-S27</f>
        <v>46.43461383997281</v>
      </c>
      <c r="S27" s="56">
        <f>SUM(S6:S25)+T17+T11</f>
        <v>10.285386160027212</v>
      </c>
      <c r="U27" s="48"/>
      <c r="W27" s="3"/>
    </row>
    <row r="28" spans="21:23" s="2" customFormat="1" ht="12.75">
      <c r="U28" s="48"/>
      <c r="W28" s="3"/>
    </row>
    <row r="29" spans="8:23" s="2" customFormat="1" ht="12.75">
      <c r="H29" s="43"/>
      <c r="U29" s="48"/>
      <c r="W29" s="3"/>
    </row>
    <row r="30" spans="21:23" s="2" customFormat="1" ht="12.75">
      <c r="U30" s="48"/>
      <c r="W30" s="3"/>
    </row>
    <row r="31" spans="21:23" s="2" customFormat="1" ht="12.75">
      <c r="U31" s="48"/>
      <c r="W31" s="3"/>
    </row>
    <row r="32" spans="21:23" s="2" customFormat="1" ht="12.75">
      <c r="U32" s="48"/>
      <c r="W32" s="3"/>
    </row>
    <row r="33" spans="21:23" s="2" customFormat="1" ht="12.75">
      <c r="U33" s="48"/>
      <c r="W33" s="3"/>
    </row>
    <row r="34" spans="21:23" s="2" customFormat="1" ht="12.75">
      <c r="U34" s="48"/>
      <c r="W34" s="3"/>
    </row>
    <row r="35" spans="21:23" s="2" customFormat="1" ht="12.75">
      <c r="U35" s="48"/>
      <c r="W35" s="3"/>
    </row>
    <row r="36" spans="21:23" s="2" customFormat="1" ht="12.75">
      <c r="U36" s="48"/>
      <c r="W36" s="3"/>
    </row>
    <row r="37" spans="21:23" s="2" customFormat="1" ht="12.75">
      <c r="U37" s="48"/>
      <c r="W37" s="3"/>
    </row>
    <row r="38" spans="21:23" s="2" customFormat="1" ht="12.75">
      <c r="U38" s="48"/>
      <c r="W38" s="3"/>
    </row>
    <row r="39" spans="21:23" s="2" customFormat="1" ht="12.75">
      <c r="U39" s="48"/>
      <c r="W39" s="3"/>
    </row>
  </sheetData>
  <sheetProtection/>
  <printOptions/>
  <pageMargins left="0.75" right="0.75" top="1" bottom="1" header="0" footer="0"/>
  <pageSetup horizontalDpi="600" verticalDpi="600" orientation="landscape" paperSize="9" scale="51" r:id="rId1"/>
  <ignoredErrors>
    <ignoredError sqref="J6:J10 J12:J16 J18:J25" unlockedFormula="1"/>
    <ignoredError sqref="S8 S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</dc:creator>
  <cp:keywords/>
  <dc:description/>
  <cp:lastModifiedBy>Usuario</cp:lastModifiedBy>
  <cp:lastPrinted>2003-05-19T19:19:05Z</cp:lastPrinted>
  <dcterms:created xsi:type="dcterms:W3CDTF">2003-05-19T19:17:15Z</dcterms:created>
  <dcterms:modified xsi:type="dcterms:W3CDTF">2023-03-05T11:21:53Z</dcterms:modified>
  <cp:category/>
  <cp:version/>
  <cp:contentType/>
  <cp:contentStatus/>
</cp:coreProperties>
</file>